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-2" sheetId="9" r:id="rId9"/>
    <sheet name="січень 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<sst xmlns="http://schemas.openxmlformats.org/spreadsheetml/2006/main" count="1478" uniqueCount="307">
  <si>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</si>
  <si>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</si>
  <si>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</si>
  <si>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</si>
  <si>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</si>
  <si>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</si>
  <si>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</si>
  <si>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</si>
  <si>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</si>
  <si>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</si>
  <si>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</si>
  <si>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</si>
  <si>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</si>
  <si>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</si>
  <si>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</si>
  <si>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</si>
  <si>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</si>
  <si>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</si>
  <si>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</si>
  <si>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</si>
  <si>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</si>
  <si>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</si>
  <si>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</si>
  <si>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</si>
  <si>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</si>
  <si>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</si>
  <si>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</si>
  <si>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</si>
  <si>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</si>
  <si>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</si>
  <si>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</si>
  <si>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</si>
  <si>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</si>
  <si>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</si>
  <si>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</si>
  <si>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</si>
  <si>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</si>
  <si>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</si>
  <si>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</si>
  <si>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</si>
  <si>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</si>
  <si>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</si>
  <si>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</si>
  <si>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</si>
  <si>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</si>
  <si>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</si>
  <si>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</si>
  <si>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</si>
  <si>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</si>
  <si>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</si>
  <si>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</si>
  <si>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</si>
  <si>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</si>
  <si>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</si>
  <si>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</si>
  <si>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</si>
  <si>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</si>
  <si>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</si>
  <si>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</si>
  <si>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</si>
  <si>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</si>
  <si>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</si>
  <si>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</si>
  <si>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</si>
  <si>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</si>
  <si>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</si>
  <si>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</si>
  <si>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</si>
  <si>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</si>
  <si>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</si>
  <si>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</si>
  <si>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</si>
  <si>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</si>
  <si>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</si>
  <si>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</si>
  <si>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</si>
  <si>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</si>
  <si>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</si>
  <si>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</si>
  <si>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</si>
  <si>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</si>
  <si>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</si>
  <si>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</si>
  <si>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</si>
  <si>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</si>
  <si>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</si>
  <si>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</si>
  <si>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</si>
  <si>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</si>
  <si>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</si>
  <si>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</si>
  <si>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</si>
  <si>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</si>
  <si>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</si>
  <si>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</si>
  <si>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</si>
  <si>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</si>
  <si>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</si>
  <si>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</si>
  <si>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</si>
  <si>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</si>
  <si>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</si>
  <si>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</si>
  <si>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</si>
  <si>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</si>
  <si>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</si>
  <si>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</si>
  <si>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</si>
  <si>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</si>
  <si>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</si>
  <si>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</si>
  <si>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</si>
  <si>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</si>
  <si>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</si>
  <si>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</si>
  <si>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</si>
  <si>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</si>
  <si>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</si>
  <si>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</si>
  <si>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</si>
  <si>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</si>
  <si>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</si>
  <si>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</si>
  <si>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</si>
  <si>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</si>
  <si>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</si>
  <si>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</si>
  <si>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</si>
  <si>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</si>
  <si>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</si>
  <si>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</si>
  <si>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</si>
  <si>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</si>
  <si>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</si>
  <si>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</si>
  <si>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</si>
  <si>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</si>
  <si>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</si>
  <si>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</si>
  <si>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</si>
  <si>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</si>
  <si>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</si>
  <si>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</si>
  <si>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</si>
  <si>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</si>
  <si>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</si>
  <si>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</si>
  <si>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</si>
  <si>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</si>
  <si>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</si>
  <si>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</si>
  <si>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</si>
  <si>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</si>
  <si>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</si>
  <si>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</si>
  <si>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</si>
  <si>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</si>
  <si>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</si>
  <si>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</si>
  <si>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</si>
  <si>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</si>
  <si>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</si>
  <si>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</si>
  <si>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</si>
  <si>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</si>
  <si>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</si>
  <si>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</si>
  <si>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</si>
  <si>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</si>
  <si>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</si>
  <si>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</si>
  <si>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</si>
  <si>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</si>
  <si>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</si>
  <si>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</si>
  <si>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</si>
  <si>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</si>
  <si>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</si>
  <si>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</si>
  <si>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</si>
  <si>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</si>
  <si>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</si>
  <si>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</si>
  <si>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</si>
  <si>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</si>
  <si>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</si>
  <si>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</si>
  <si>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</si>
  <si>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</si>
  <si>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</si>
  <si>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</si>
  <si>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</si>
  <si>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</si>
  <si>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</si>
  <si>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</si>
  <si>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</si>
  <si>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</si>
  <si>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</si>
  <si>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</si>
  <si>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</si>
  <si>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</si>
  <si>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</si>
  <si>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</si>
  <si>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</si>
  <si>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</si>
  <si>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</si>
  <si>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</si>
  <si>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</si>
  <si>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</si>
  <si>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</si>
  <si>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</si>
  <si>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</si>
  <si>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</si>
  <si>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</si>
  <si>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</si>
  <si>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</si>
  <si>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</si>
  <si>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</si>
  <si>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</si>
  <si>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</si>
  <si>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</si>
  <si>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</si>
  <si>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</si>
  <si>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</si>
  <si>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</si>
  <si>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</si>
  <si>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</si>
  <si>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</si>
  <si>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</si>
  <si>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</si>
  <si>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</si>
  <si>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</si>
  <si>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</si>
  <si>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</si>
  <si>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</si>
  <si>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</si>
  <si>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</si>
  <si>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</si>
  <si>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</si>
  <si>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</si>
  <si>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</si>
  <si>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</si>
  <si>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</si>
  <si>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</si>
  <si>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</si>
  <si>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</si>
  <si>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</si>
  <si>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</si>
  <si>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</si>
  <si>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</si>
  <si>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</si>
  <si>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</si>
  <si>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</si>
  <si>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</si>
  <si>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</si>
  <si>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</si>
  <si>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</si>
  <si>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</si>
  <si>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</si>
  <si>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</si>
  <si>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</si>
  <si>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</si>
  <si>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</si>
  <si>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</si>
  <si>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</si>
  <si>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</si>
  <si>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</si>
  <si>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</si>
  <si>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</si>
  <si>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</si>
  <si>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</si>
  <si>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</si>
  <si>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</si>
  <si>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</si>
  <si>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</si>
  <si>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</si>
  <si>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</si>
  <si>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</si>
  <si>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</si>
  <si>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</si>
  <si>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</si>
  <si>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</si>
  <si>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</si>
  <si>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</si>
  <si>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</si>
  <si>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</si>
  <si>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</si>
  <si>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</si>
  <si>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</si>
  <si>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</si>
  <si>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</si>
  <si>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</si>
  <si>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</si>
  <si>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</si>
  <si>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</si>
  <si>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</si>
  <si>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</si>
  <si>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</si>
  <si>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</si>
  <si>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</si>
  <si>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</si>
  <si>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</si>
  <si>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</si>
  <si>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</si>
  <si>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</si>
  <si>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</si>
  <si>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18.09.15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</si>
</sst>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3" sqref="D8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305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303</v>
      </c>
      <c r="N3" s="262" t="s">
        <v>304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298</v>
      </c>
      <c r="F4" s="245" t="s">
        <v>116</v>
      </c>
      <c r="G4" s="247" t="s">
        <v>299</v>
      </c>
      <c r="H4" s="249" t="s">
        <v>300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306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302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453936.02</v>
      </c>
      <c r="G8" s="18">
        <f aca="true" t="shared" si="0" ref="G8:G54">F8-E8</f>
        <v>-4816.479999999981</v>
      </c>
      <c r="H8" s="45">
        <f>F8/E8*100</f>
        <v>98.95009182511268</v>
      </c>
      <c r="I8" s="31">
        <f aca="true" t="shared" si="1" ref="I8:I54">F8-D8</f>
        <v>-118352.97999999998</v>
      </c>
      <c r="J8" s="31">
        <f aca="true" t="shared" si="2" ref="J8:J14">F8/D8*100</f>
        <v>79.3193683610903</v>
      </c>
      <c r="K8" s="18">
        <f>K9+K15+K18+K19+K20+K32</f>
        <v>94952.17600000005</v>
      </c>
      <c r="L8" s="18"/>
      <c r="M8" s="18">
        <f>M9+M15+M18+M19+M20+M32+M17</f>
        <v>45676.399999999994</v>
      </c>
      <c r="N8" s="18">
        <f>N9+N15+N18+N19+N20+N32+N17</f>
        <v>24423.91000000001</v>
      </c>
      <c r="O8" s="31">
        <f aca="true" t="shared" si="3" ref="O8:O54">N8-M8</f>
        <v>-21252.489999999983</v>
      </c>
      <c r="P8" s="31">
        <f>F8/M8*100</f>
        <v>993.8086626791955</v>
      </c>
      <c r="Q8" s="31">
        <f>N8-33748.16</f>
        <v>-9324.249999999993</v>
      </c>
      <c r="R8" s="125">
        <f>N8/33748.16</f>
        <v>0.723710863051497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252133.39</v>
      </c>
      <c r="G9" s="43">
        <f t="shared" si="0"/>
        <v>3518.8400000000256</v>
      </c>
      <c r="H9" s="35">
        <f aca="true" t="shared" si="4" ref="H9:H32">F9/E9*100</f>
        <v>101.41537975150692</v>
      </c>
      <c r="I9" s="50">
        <f t="shared" si="1"/>
        <v>-60556.609999999986</v>
      </c>
      <c r="J9" s="50">
        <f t="shared" si="2"/>
        <v>80.63365953500272</v>
      </c>
      <c r="K9" s="132">
        <f>F9-282613.68/75*60</f>
        <v>26042.446000000025</v>
      </c>
      <c r="L9" s="132">
        <f>F9/(282613.68/75*60)*100</f>
        <v>111.51857104015632</v>
      </c>
      <c r="M9" s="35">
        <f>E9-серпень!E9</f>
        <v>26089.899999999994</v>
      </c>
      <c r="N9" s="35">
        <f>F9-серпень!F9</f>
        <v>18422.380000000005</v>
      </c>
      <c r="O9" s="47">
        <f t="shared" si="3"/>
        <v>-7667.5199999999895</v>
      </c>
      <c r="P9" s="50">
        <f aca="true" t="shared" si="5" ref="P9:P32">N9/M9*100</f>
        <v>70.61115604122672</v>
      </c>
      <c r="Q9" s="132">
        <f>N9-26568.11</f>
        <v>-8145.729999999996</v>
      </c>
      <c r="R9" s="133">
        <f>N9/26568.11</f>
        <v>0.6934019770318628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223038.49</v>
      </c>
      <c r="G10" s="135">
        <f t="shared" si="0"/>
        <v>4548.239999999991</v>
      </c>
      <c r="H10" s="137">
        <f t="shared" si="4"/>
        <v>102.08166725975185</v>
      </c>
      <c r="I10" s="136">
        <f t="shared" si="1"/>
        <v>-17371.51000000001</v>
      </c>
      <c r="J10" s="136">
        <f t="shared" si="2"/>
        <v>92.77421488290835</v>
      </c>
      <c r="K10" s="138">
        <f>F10-251377.17/75*60</f>
        <v>21936.753999999986</v>
      </c>
      <c r="L10" s="138">
        <f>F10/(251377.17/75*60)*100</f>
        <v>110.90828673900657</v>
      </c>
      <c r="M10" s="137">
        <f>E10-серпень!E10</f>
        <v>22490</v>
      </c>
      <c r="N10" s="137">
        <f>F10-серпень!F10</f>
        <v>16420.28</v>
      </c>
      <c r="O10" s="138">
        <f t="shared" si="3"/>
        <v>-6069.720000000001</v>
      </c>
      <c r="P10" s="136">
        <f t="shared" si="5"/>
        <v>73.01147176522899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13129.81</v>
      </c>
      <c r="G11" s="135">
        <f t="shared" si="0"/>
        <v>-3658.090000000002</v>
      </c>
      <c r="H11" s="137">
        <f t="shared" si="4"/>
        <v>78.20996074553696</v>
      </c>
      <c r="I11" s="136">
        <f t="shared" si="1"/>
        <v>-10570.19</v>
      </c>
      <c r="J11" s="136">
        <f t="shared" si="2"/>
        <v>55.400042194092826</v>
      </c>
      <c r="K11" s="138">
        <f>F11-18550.28/75*60</f>
        <v>-1710.4140000000007</v>
      </c>
      <c r="L11" s="138">
        <f>F11/(18550.28/75*60)*100</f>
        <v>88.47447316159108</v>
      </c>
      <c r="M11" s="137">
        <f>E11-серпень!E11</f>
        <v>2099.9000000000015</v>
      </c>
      <c r="N11" s="137">
        <f>F11-серпень!F11</f>
        <v>721.25</v>
      </c>
      <c r="O11" s="138">
        <f t="shared" si="3"/>
        <v>-1378.6500000000015</v>
      </c>
      <c r="P11" s="136">
        <f t="shared" si="5"/>
        <v>34.34687366065049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3521.38</v>
      </c>
      <c r="G12" s="135">
        <f t="shared" si="0"/>
        <v>-387.6199999999999</v>
      </c>
      <c r="H12" s="137">
        <f t="shared" si="4"/>
        <v>90.08390892811461</v>
      </c>
      <c r="I12" s="136">
        <f t="shared" si="1"/>
        <v>-2278.62</v>
      </c>
      <c r="J12" s="136">
        <f t="shared" si="2"/>
        <v>60.71344827586207</v>
      </c>
      <c r="K12" s="138">
        <f>F12-5298.15/75*60</f>
        <v>-717.1399999999994</v>
      </c>
      <c r="L12" s="138">
        <f>F12/(5298.15*60)*100</f>
        <v>1.107738864823885</v>
      </c>
      <c r="M12" s="137">
        <f>E12-серпень!E12</f>
        <v>660</v>
      </c>
      <c r="N12" s="137">
        <f>F12-серпень!F12</f>
        <v>190.01999999999998</v>
      </c>
      <c r="O12" s="138">
        <f t="shared" si="3"/>
        <v>-469.98</v>
      </c>
      <c r="P12" s="136">
        <f t="shared" si="5"/>
        <v>28.79090909090909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5482.35</v>
      </c>
      <c r="G13" s="135">
        <f t="shared" si="0"/>
        <v>-741.0499999999993</v>
      </c>
      <c r="H13" s="137">
        <f t="shared" si="4"/>
        <v>88.09252177266447</v>
      </c>
      <c r="I13" s="136">
        <f t="shared" si="1"/>
        <v>-2917.6499999999996</v>
      </c>
      <c r="J13" s="136">
        <f t="shared" si="2"/>
        <v>65.26607142857144</v>
      </c>
      <c r="K13" s="138">
        <f>F13-7303.25/75*60</f>
        <v>-360.25</v>
      </c>
      <c r="L13" s="138">
        <f>F13/(7303.25/75*60)*100</f>
        <v>93.83408071748879</v>
      </c>
      <c r="M13" s="137">
        <f>E13-серпень!E13</f>
        <v>450</v>
      </c>
      <c r="N13" s="137">
        <f>F13-серпень!F13</f>
        <v>505.6200000000008</v>
      </c>
      <c r="O13" s="138">
        <f t="shared" si="3"/>
        <v>55.6200000000008</v>
      </c>
      <c r="P13" s="136">
        <f t="shared" si="5"/>
        <v>112.36000000000017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-670.52</v>
      </c>
      <c r="G15" s="43">
        <f t="shared" si="0"/>
        <v>-841.92</v>
      </c>
      <c r="H15" s="35"/>
      <c r="I15" s="50">
        <f t="shared" si="1"/>
        <v>-670.52</v>
      </c>
      <c r="J15" s="50" t="e">
        <f>F15/D15*100</f>
        <v>#DIV/0!</v>
      </c>
      <c r="K15" s="53">
        <f>F15-(-404.47)</f>
        <v>-266.04999999999995</v>
      </c>
      <c r="L15" s="53">
        <f>F15/(-404.47)*100</f>
        <v>165.7774371399609</v>
      </c>
      <c r="M15" s="35">
        <f>E15-серпень!E15</f>
        <v>0.09999999999999432</v>
      </c>
      <c r="N15" s="35">
        <f>F15-серпень!F15</f>
        <v>64.06000000000006</v>
      </c>
      <c r="O15" s="47">
        <f t="shared" si="3"/>
        <v>63.960000000000065</v>
      </c>
      <c r="P15" s="50"/>
      <c r="Q15" s="50">
        <f>N15-358.81</f>
        <v>-294.74999999999994</v>
      </c>
      <c r="R15" s="126">
        <f>N15/358.81</f>
        <v>0.17853460048493647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-1169.76</v>
      </c>
      <c r="G16" s="135">
        <f t="shared" si="0"/>
        <v>-1169.76</v>
      </c>
      <c r="H16" s="137"/>
      <c r="I16" s="136">
        <f t="shared" si="1"/>
        <v>-1169.76</v>
      </c>
      <c r="J16" s="136"/>
      <c r="K16" s="138">
        <f>F16-95.61</f>
        <v>-1265.37</v>
      </c>
      <c r="L16" s="138">
        <f>F16/95.61*100</f>
        <v>-1223.4703482899276</v>
      </c>
      <c r="M16" s="35">
        <f>E16-серпень!E16</f>
        <v>0</v>
      </c>
      <c r="N16" s="35">
        <f>F16-серпень!F16</f>
        <v>64.04999999999995</v>
      </c>
      <c r="O16" s="138">
        <f t="shared" si="3"/>
        <v>64.04999999999995</v>
      </c>
      <c r="P16" s="50"/>
      <c r="Q16" s="136">
        <f>N16-358.81</f>
        <v>-294.76000000000005</v>
      </c>
      <c r="R16" s="141">
        <f>N16/358.79</f>
        <v>0.17851668106691923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44701.35</v>
      </c>
      <c r="G19" s="43">
        <f t="shared" si="0"/>
        <v>-6021.4000000000015</v>
      </c>
      <c r="H19" s="35">
        <f t="shared" si="4"/>
        <v>88.12879822170525</v>
      </c>
      <c r="I19" s="50">
        <f t="shared" si="1"/>
        <v>-17508.65</v>
      </c>
      <c r="J19" s="178">
        <f>F19/D19*100</f>
        <v>71.85556984407651</v>
      </c>
      <c r="K19" s="179">
        <f>F19-0</f>
        <v>44701.35</v>
      </c>
      <c r="L19" s="180"/>
      <c r="M19" s="35">
        <f>E19-серпень!E19</f>
        <v>6800</v>
      </c>
      <c r="N19" s="35">
        <f>F19-серпень!F19</f>
        <v>823.689999999995</v>
      </c>
      <c r="O19" s="47">
        <f t="shared" si="3"/>
        <v>-5976.310000000005</v>
      </c>
      <c r="P19" s="50">
        <f t="shared" si="5"/>
        <v>12.113088235294045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152178.18</v>
      </c>
      <c r="G20" s="43">
        <f t="shared" si="0"/>
        <v>-1300.2200000000012</v>
      </c>
      <c r="H20" s="35">
        <f t="shared" si="4"/>
        <v>99.15283192944415</v>
      </c>
      <c r="I20" s="50">
        <f t="shared" si="1"/>
        <v>-37691.82000000001</v>
      </c>
      <c r="J20" s="178">
        <f aca="true" t="shared" si="6" ref="J20:J46">F20/D20*100</f>
        <v>80.14861747511455</v>
      </c>
      <c r="K20" s="178">
        <f>K21+K25+K26+K27</f>
        <v>26253.09000000001</v>
      </c>
      <c r="L20" s="136"/>
      <c r="M20" s="35">
        <f>E20-серпень!E20</f>
        <v>12786.100000000006</v>
      </c>
      <c r="N20" s="35">
        <f>F20-серпень!F20</f>
        <v>5110.010000000009</v>
      </c>
      <c r="O20" s="47">
        <f t="shared" si="3"/>
        <v>-7676.0899999999965</v>
      </c>
      <c r="P20" s="50">
        <f t="shared" si="5"/>
        <v>39.96535300052406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82096.02</v>
      </c>
      <c r="G21" s="43">
        <f t="shared" si="0"/>
        <v>-3804.37999999999</v>
      </c>
      <c r="H21" s="35">
        <f t="shared" si="4"/>
        <v>95.57117312608557</v>
      </c>
      <c r="I21" s="50">
        <f t="shared" si="1"/>
        <v>-28203.979999999996</v>
      </c>
      <c r="J21" s="178">
        <f t="shared" si="6"/>
        <v>74.4297552130553</v>
      </c>
      <c r="K21" s="178">
        <f>K22+K23+K24</f>
        <v>20549.410000000003</v>
      </c>
      <c r="L21" s="136"/>
      <c r="M21" s="35">
        <f>E21-серпень!E21</f>
        <v>8720.099999999991</v>
      </c>
      <c r="N21" s="35">
        <f>F21-серпень!F21</f>
        <v>2297.1399999999994</v>
      </c>
      <c r="O21" s="47">
        <f t="shared" si="3"/>
        <v>-6422.959999999992</v>
      </c>
      <c r="P21" s="50">
        <f t="shared" si="5"/>
        <v>26.34304652469584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8999.16</v>
      </c>
      <c r="G22" s="135">
        <f t="shared" si="0"/>
        <v>204.76000000000022</v>
      </c>
      <c r="H22" s="137">
        <f t="shared" si="4"/>
        <v>102.32829982716274</v>
      </c>
      <c r="I22" s="136">
        <f t="shared" si="1"/>
        <v>-1700.8400000000001</v>
      </c>
      <c r="J22" s="136">
        <f t="shared" si="6"/>
        <v>84.10429906542056</v>
      </c>
      <c r="K22" s="136">
        <f>F22-314.15</f>
        <v>8685.01</v>
      </c>
      <c r="L22" s="136">
        <f>F22/314.15*100</f>
        <v>2864.606079898138</v>
      </c>
      <c r="M22" s="137">
        <f>E22-серпень!E22</f>
        <v>171.10000000000036</v>
      </c>
      <c r="N22" s="137">
        <f>F22-серпень!F22</f>
        <v>325.4200000000001</v>
      </c>
      <c r="O22" s="138">
        <f t="shared" si="3"/>
        <v>154.3199999999997</v>
      </c>
      <c r="P22" s="136">
        <f t="shared" si="5"/>
        <v>190.19286966686113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3256.53</v>
      </c>
      <c r="G23" s="135">
        <f t="shared" si="0"/>
        <v>1469.5300000000002</v>
      </c>
      <c r="H23" s="137"/>
      <c r="I23" s="136">
        <f t="shared" si="1"/>
        <v>1156.5300000000002</v>
      </c>
      <c r="J23" s="136">
        <f t="shared" si="6"/>
        <v>155.07285714285715</v>
      </c>
      <c r="K23" s="136">
        <f>F23-0</f>
        <v>3256.53</v>
      </c>
      <c r="L23" s="136"/>
      <c r="M23" s="137">
        <f>E23-серпень!E23</f>
        <v>309</v>
      </c>
      <c r="N23" s="137">
        <f>F23-серпень!F23</f>
        <v>139.58000000000038</v>
      </c>
      <c r="O23" s="138">
        <f t="shared" si="3"/>
        <v>-169.41999999999962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69840.33</v>
      </c>
      <c r="G24" s="135">
        <f t="shared" si="0"/>
        <v>-5478.669999999998</v>
      </c>
      <c r="H24" s="137">
        <f t="shared" si="4"/>
        <v>92.72604522099338</v>
      </c>
      <c r="I24" s="136">
        <f t="shared" si="1"/>
        <v>-27659.67</v>
      </c>
      <c r="J24" s="136">
        <f t="shared" si="6"/>
        <v>71.6311076923077</v>
      </c>
      <c r="K24" s="224">
        <f>F24-61232.46</f>
        <v>8607.870000000003</v>
      </c>
      <c r="L24" s="224">
        <f>F24/61232.46*100</f>
        <v>114.05769096978955</v>
      </c>
      <c r="M24" s="137">
        <f>E24-серпень!E24</f>
        <v>8240</v>
      </c>
      <c r="N24" s="137">
        <f>F24-серпень!F24</f>
        <v>1832.1399999999994</v>
      </c>
      <c r="O24" s="138">
        <f t="shared" si="3"/>
        <v>-6407.860000000001</v>
      </c>
      <c r="P24" s="136">
        <f t="shared" si="5"/>
        <v>22.23470873786407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54.85</v>
      </c>
      <c r="G25" s="43">
        <f t="shared" si="0"/>
        <v>13.350000000000001</v>
      </c>
      <c r="H25" s="35">
        <f t="shared" si="4"/>
        <v>132.16867469879517</v>
      </c>
      <c r="I25" s="50">
        <f t="shared" si="1"/>
        <v>-15.149999999999999</v>
      </c>
      <c r="J25" s="178">
        <f t="shared" si="6"/>
        <v>78.35714285714286</v>
      </c>
      <c r="K25" s="178">
        <f>F25-44.08</f>
        <v>10.770000000000003</v>
      </c>
      <c r="L25" s="178">
        <f>F25/44.08*100</f>
        <v>124.43284936479128</v>
      </c>
      <c r="M25" s="35">
        <f>E25-серпень!E25</f>
        <v>6</v>
      </c>
      <c r="N25" s="35">
        <f>F25-серпень!F25</f>
        <v>6</v>
      </c>
      <c r="O25" s="47">
        <f t="shared" si="3"/>
        <v>0</v>
      </c>
      <c r="P25" s="50">
        <f t="shared" si="5"/>
        <v>100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-671.51</v>
      </c>
      <c r="G26" s="43">
        <f t="shared" si="0"/>
        <v>-671.51</v>
      </c>
      <c r="H26" s="35"/>
      <c r="I26" s="50">
        <f t="shared" si="1"/>
        <v>-671.51</v>
      </c>
      <c r="J26" s="136"/>
      <c r="K26" s="178">
        <f>F26-4797.94</f>
        <v>-5469.45</v>
      </c>
      <c r="L26" s="178">
        <f>F26/4797.94*100</f>
        <v>-13.995798196726096</v>
      </c>
      <c r="M26" s="35">
        <f>E26-серпень!E26</f>
        <v>0</v>
      </c>
      <c r="N26" s="35">
        <f>F26-серпень!F26</f>
        <v>-56.93999999999994</v>
      </c>
      <c r="O26" s="47">
        <f t="shared" si="3"/>
        <v>-56.93999999999994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70698.82</v>
      </c>
      <c r="G27" s="43">
        <f t="shared" si="0"/>
        <v>3162.320000000007</v>
      </c>
      <c r="H27" s="35">
        <f t="shared" si="4"/>
        <v>104.68238656134092</v>
      </c>
      <c r="I27" s="50">
        <f t="shared" si="1"/>
        <v>-8801.179999999993</v>
      </c>
      <c r="J27" s="178">
        <f t="shared" si="6"/>
        <v>88.92933333333333</v>
      </c>
      <c r="K27" s="132">
        <f>F27-59536.46</f>
        <v>11162.360000000008</v>
      </c>
      <c r="L27" s="132">
        <f>F27/59536.46*100</f>
        <v>118.74878015925032</v>
      </c>
      <c r="M27" s="35">
        <f>E27-серпень!E27</f>
        <v>4060</v>
      </c>
      <c r="N27" s="35">
        <f>F27-серпень!F27</f>
        <v>2863.810000000012</v>
      </c>
      <c r="O27" s="47">
        <f t="shared" si="3"/>
        <v>-1196.1899999999878</v>
      </c>
      <c r="P27" s="50">
        <f t="shared" si="5"/>
        <v>70.5371921182269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17240.59</v>
      </c>
      <c r="G29" s="135">
        <f t="shared" si="0"/>
        <v>460.59000000000015</v>
      </c>
      <c r="H29" s="137">
        <f t="shared" si="4"/>
        <v>102.74487485101311</v>
      </c>
      <c r="I29" s="136">
        <f t="shared" si="1"/>
        <v>-1959.4099999999999</v>
      </c>
      <c r="J29" s="136">
        <f t="shared" si="6"/>
        <v>89.79473958333334</v>
      </c>
      <c r="K29" s="139">
        <f>F29-16472.46</f>
        <v>768.130000000001</v>
      </c>
      <c r="L29" s="139">
        <f>F29/16472.46*100</f>
        <v>104.66311649868933</v>
      </c>
      <c r="M29" s="137">
        <f>E29-серпень!E29</f>
        <v>1200</v>
      </c>
      <c r="N29" s="137">
        <f>F29-серпень!F29</f>
        <v>309.2599999999984</v>
      </c>
      <c r="O29" s="138">
        <f t="shared" si="3"/>
        <v>-890.7400000000016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53442.59</v>
      </c>
      <c r="G30" s="135">
        <f t="shared" si="0"/>
        <v>2686.0899999999965</v>
      </c>
      <c r="H30" s="137">
        <f t="shared" si="4"/>
        <v>105.29211037010037</v>
      </c>
      <c r="I30" s="136">
        <f t="shared" si="1"/>
        <v>-6857.4100000000035</v>
      </c>
      <c r="J30" s="136">
        <f t="shared" si="6"/>
        <v>88.62784411276948</v>
      </c>
      <c r="K30" s="139">
        <f>F30-43062.79</f>
        <v>10379.799999999996</v>
      </c>
      <c r="L30" s="139">
        <f>F30/43062.79*100</f>
        <v>124.10387250802839</v>
      </c>
      <c r="M30" s="137">
        <f>E30-серпень!E30</f>
        <v>2860</v>
      </c>
      <c r="N30" s="137">
        <f>F30-серпень!F30</f>
        <v>2554.519999999997</v>
      </c>
      <c r="O30" s="138">
        <f t="shared" si="3"/>
        <v>-305.4800000000032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E31-серпень!E31</f>
        <v>0</v>
      </c>
      <c r="N31" s="137">
        <f>F31-серпень!F31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5577.73</v>
      </c>
      <c r="G32" s="43">
        <f t="shared" si="0"/>
        <v>-174.67000000000007</v>
      </c>
      <c r="H32" s="35">
        <f t="shared" si="4"/>
        <v>96.96352826646269</v>
      </c>
      <c r="I32" s="50">
        <f t="shared" si="1"/>
        <v>-1922.2700000000004</v>
      </c>
      <c r="J32" s="178">
        <f t="shared" si="6"/>
        <v>74.36973333333333</v>
      </c>
      <c r="K32" s="178">
        <f>F32-7368.88</f>
        <v>-1791.1500000000005</v>
      </c>
      <c r="L32" s="178">
        <f>F32/7368.88*100</f>
        <v>75.69304969004787</v>
      </c>
      <c r="M32" s="35">
        <f>E32-серпень!E32</f>
        <v>0.2999999999992724</v>
      </c>
      <c r="N32" s="35">
        <f>F32-серпень!F32</f>
        <v>3.769999999999527</v>
      </c>
      <c r="O32" s="47">
        <f t="shared" si="3"/>
        <v>3.4700000000002547</v>
      </c>
      <c r="P32" s="50">
        <f t="shared" si="5"/>
        <v>1256.666666669557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22950</v>
      </c>
      <c r="F33" s="18">
        <f>F34+F35+F36+F37+F38+F41+F42+F47+F48+F52+F40+F39</f>
        <v>27651.129999999997</v>
      </c>
      <c r="G33" s="44">
        <f t="shared" si="0"/>
        <v>4701.129999999997</v>
      </c>
      <c r="H33" s="45">
        <f>F33/E33*100</f>
        <v>120.4842265795207</v>
      </c>
      <c r="I33" s="31">
        <f t="shared" si="1"/>
        <v>-1055.9700000000012</v>
      </c>
      <c r="J33" s="31">
        <f t="shared" si="6"/>
        <v>96.32157201528541</v>
      </c>
      <c r="K33" s="18">
        <f>K34+K35+K36+K37+K38+K41+K42+K47+K48+K52+K40</f>
        <v>17892.940000000002</v>
      </c>
      <c r="L33" s="18"/>
      <c r="M33" s="18">
        <f>M34+M35+M36+M37+M38+M41+M42+M47+M48+M52+M40+M39</f>
        <v>2859.8</v>
      </c>
      <c r="N33" s="18">
        <f>N34+N35+N36+N37+N38+N41+N42+N47+N48+N52+N40+N39</f>
        <v>6043.780000000001</v>
      </c>
      <c r="O33" s="49">
        <f t="shared" si="3"/>
        <v>3183.9800000000005</v>
      </c>
      <c r="P33" s="31">
        <f>N33/M33*100</f>
        <v>211.33575774529686</v>
      </c>
      <c r="Q33" s="31">
        <f>N33-1017.63</f>
        <v>5026.150000000001</v>
      </c>
      <c r="R33" s="127">
        <f>N33/1017.63</f>
        <v>5.939074123207846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450</v>
      </c>
      <c r="F35" s="143">
        <v>4154.01</v>
      </c>
      <c r="G35" s="43">
        <f t="shared" si="0"/>
        <v>3704.01</v>
      </c>
      <c r="H35" s="35"/>
      <c r="I35" s="50">
        <f t="shared" si="1"/>
        <v>3154.01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250</v>
      </c>
      <c r="N35" s="35">
        <f>F35-серпень!F35</f>
        <v>3952.6400000000003</v>
      </c>
      <c r="O35" s="47">
        <f t="shared" si="3"/>
        <v>3702.6400000000003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319.89</v>
      </c>
      <c r="G36" s="43">
        <f t="shared" si="0"/>
        <v>79.88999999999999</v>
      </c>
      <c r="H36" s="35"/>
      <c r="I36" s="50">
        <f t="shared" si="1"/>
        <v>79.88999999999999</v>
      </c>
      <c r="J36" s="50"/>
      <c r="K36" s="50">
        <f>F36-272.25</f>
        <v>47.639999999999986</v>
      </c>
      <c r="L36" s="50">
        <f>F36/272.25*100</f>
        <v>117.49862258953168</v>
      </c>
      <c r="M36" s="35">
        <f>E36-серпень!E36</f>
        <v>0</v>
      </c>
      <c r="N36" s="35">
        <f>F36-серпень!F36</f>
        <v>12.689999999999998</v>
      </c>
      <c r="O36" s="47">
        <f t="shared" si="3"/>
        <v>12.689999999999998</v>
      </c>
      <c r="P36" s="50"/>
      <c r="Q36" s="50">
        <f>N36-4.23</f>
        <v>8.459999999999997</v>
      </c>
      <c r="R36" s="126">
        <f>N36/4.23</f>
        <v>2.999999999999999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113.06</v>
      </c>
      <c r="G38" s="43">
        <f t="shared" si="0"/>
        <v>8.060000000000002</v>
      </c>
      <c r="H38" s="35">
        <f>F38/E38*100</f>
        <v>107.67619047619048</v>
      </c>
      <c r="I38" s="50">
        <f t="shared" si="1"/>
        <v>-26.939999999999998</v>
      </c>
      <c r="J38" s="50">
        <f t="shared" si="6"/>
        <v>80.75714285714287</v>
      </c>
      <c r="K38" s="50">
        <f>F38-97.95</f>
        <v>15.11</v>
      </c>
      <c r="L38" s="50">
        <f>F38/97.95*100</f>
        <v>115.42623787646758</v>
      </c>
      <c r="M38" s="35">
        <f>E38-серпень!E38</f>
        <v>15</v>
      </c>
      <c r="N38" s="35">
        <f>F38-серпень!F38</f>
        <v>9</v>
      </c>
      <c r="O38" s="47">
        <f t="shared" si="3"/>
        <v>-6</v>
      </c>
      <c r="P38" s="50">
        <f>N38/M38*100</f>
        <v>60</v>
      </c>
      <c r="Q38" s="50">
        <f>N38-9.02</f>
        <v>-0.019999999999999574</v>
      </c>
      <c r="R38" s="126">
        <f>N38/9.02</f>
        <v>0.9977827050997783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E39-серпень!E39</f>
        <v>0</v>
      </c>
      <c r="N39" s="35">
        <f>F39-серпень!F39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7311.96</v>
      </c>
      <c r="G40" s="43"/>
      <c r="H40" s="35"/>
      <c r="I40" s="50">
        <f t="shared" si="1"/>
        <v>-1688.04</v>
      </c>
      <c r="J40" s="50"/>
      <c r="K40" s="50">
        <f>F40-0</f>
        <v>7311.96</v>
      </c>
      <c r="L40" s="50"/>
      <c r="M40" s="35">
        <f>E40-серпень!E40</f>
        <v>1000</v>
      </c>
      <c r="N40" s="35">
        <f>F40-серпень!F40</f>
        <v>539.9099999999999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6785.06</v>
      </c>
      <c r="G41" s="43">
        <f t="shared" si="0"/>
        <v>1565.0600000000004</v>
      </c>
      <c r="H41" s="35">
        <f>F41/E41*100</f>
        <v>129.98199233716477</v>
      </c>
      <c r="I41" s="50">
        <f t="shared" si="1"/>
        <v>-114.9399999999996</v>
      </c>
      <c r="J41" s="50">
        <f t="shared" si="6"/>
        <v>98.33420289855073</v>
      </c>
      <c r="K41" s="50">
        <f>F41-5365.42</f>
        <v>1419.6400000000003</v>
      </c>
      <c r="L41" s="50">
        <f>F41/5365.42*100</f>
        <v>126.45906564630542</v>
      </c>
      <c r="M41" s="35">
        <f>E41-серпень!E41</f>
        <v>600</v>
      </c>
      <c r="N41" s="35">
        <f>F41-серпень!F41</f>
        <v>920.21</v>
      </c>
      <c r="O41" s="47">
        <f t="shared" si="3"/>
        <v>320.21000000000004</v>
      </c>
      <c r="P41" s="50">
        <f>N41/M41*100</f>
        <v>153.36833333333334</v>
      </c>
      <c r="Q41" s="50">
        <f>N41-647.49</f>
        <v>272.72</v>
      </c>
      <c r="R41" s="126">
        <f>N41/647.49</f>
        <v>1.4211956941419945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5548.06</v>
      </c>
      <c r="G42" s="43">
        <f t="shared" si="0"/>
        <v>-250.9399999999996</v>
      </c>
      <c r="H42" s="35">
        <f>F42/E42*100</f>
        <v>95.67270219003277</v>
      </c>
      <c r="I42" s="50">
        <f t="shared" si="1"/>
        <v>-1551.9399999999996</v>
      </c>
      <c r="J42" s="50">
        <f t="shared" si="6"/>
        <v>78.14169014084507</v>
      </c>
      <c r="K42" s="50">
        <f>F42-782.38</f>
        <v>4765.68</v>
      </c>
      <c r="L42" s="50">
        <f>F42/782.38*100</f>
        <v>709.1260001533782</v>
      </c>
      <c r="M42" s="35">
        <f>E42-серпень!E42</f>
        <v>604.3000000000002</v>
      </c>
      <c r="N42" s="35">
        <f>F42-серпень!F42</f>
        <v>326.6300000000001</v>
      </c>
      <c r="O42" s="47">
        <f t="shared" si="3"/>
        <v>-277.6700000000001</v>
      </c>
      <c r="P42" s="50">
        <f>N42/M42*100</f>
        <v>54.05096806222075</v>
      </c>
      <c r="Q42" s="50">
        <f>N42-79.51</f>
        <v>247.12000000000012</v>
      </c>
      <c r="R42" s="126">
        <f>N42/79.51</f>
        <v>4.10803672494026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784.01</v>
      </c>
      <c r="G43" s="135">
        <f t="shared" si="0"/>
        <v>-55.99000000000001</v>
      </c>
      <c r="H43" s="137">
        <f>F43/E43*100</f>
        <v>93.3345238095238</v>
      </c>
      <c r="I43" s="136">
        <f t="shared" si="1"/>
        <v>-315.99</v>
      </c>
      <c r="J43" s="136">
        <f t="shared" si="6"/>
        <v>71.27363636363636</v>
      </c>
      <c r="K43" s="136">
        <f>F43-687.25</f>
        <v>96.75999999999999</v>
      </c>
      <c r="L43" s="136">
        <f>F43/687.25*100</f>
        <v>114.07930156420517</v>
      </c>
      <c r="M43" s="35">
        <f>E43-серпень!E43</f>
        <v>80</v>
      </c>
      <c r="N43" s="35">
        <f>F43-серпень!F43</f>
        <v>48.879999999999995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44.04</v>
      </c>
      <c r="G44" s="135">
        <f t="shared" si="0"/>
        <v>-15.96</v>
      </c>
      <c r="H44" s="137"/>
      <c r="I44" s="136">
        <f t="shared" si="1"/>
        <v>-35.96</v>
      </c>
      <c r="J44" s="136"/>
      <c r="K44" s="136">
        <f>F44-0</f>
        <v>44.04</v>
      </c>
      <c r="L44" s="136"/>
      <c r="M44" s="35">
        <f>E44-серпень!E44</f>
        <v>10</v>
      </c>
      <c r="N44" s="35">
        <f>F44-серпень!F44</f>
        <v>-1.4100000000000037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4719.26</v>
      </c>
      <c r="G46" s="135">
        <f t="shared" si="0"/>
        <v>-178.73999999999978</v>
      </c>
      <c r="H46" s="137">
        <f>F46/E46*100</f>
        <v>96.35075541037158</v>
      </c>
      <c r="I46" s="136">
        <f t="shared" si="1"/>
        <v>-1198.7399999999998</v>
      </c>
      <c r="J46" s="136">
        <f t="shared" si="6"/>
        <v>79.74417032781346</v>
      </c>
      <c r="K46" s="136">
        <f>F46-95.13</f>
        <v>4624.13</v>
      </c>
      <c r="L46" s="136">
        <f>F46/95.13*100</f>
        <v>4960.8535688005895</v>
      </c>
      <c r="M46" s="35">
        <f>E46-серпень!E46</f>
        <v>514</v>
      </c>
      <c r="N46" s="35">
        <f>F46-серпень!F46</f>
        <v>279.15000000000055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E47-серпень!E47</f>
        <v>0</v>
      </c>
      <c r="N47" s="35">
        <f>F47-серпень!F47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3475.35</v>
      </c>
      <c r="G48" s="43">
        <f t="shared" si="0"/>
        <v>385.3499999999999</v>
      </c>
      <c r="H48" s="35">
        <f>F48/E48*100</f>
        <v>112.47087378640776</v>
      </c>
      <c r="I48" s="50">
        <f t="shared" si="1"/>
        <v>-724.6500000000001</v>
      </c>
      <c r="J48" s="50">
        <f>F48/D48*100</f>
        <v>82.74642857142857</v>
      </c>
      <c r="K48" s="50">
        <f>F48-3093.83</f>
        <v>381.52</v>
      </c>
      <c r="L48" s="50">
        <f>F48/3093.83*100</f>
        <v>112.33164071716932</v>
      </c>
      <c r="M48" s="35">
        <f>E48-серпень!E48</f>
        <v>390</v>
      </c>
      <c r="N48" s="35">
        <f>F48-серпень!F48</f>
        <v>282.6999999999998</v>
      </c>
      <c r="O48" s="47">
        <f t="shared" si="3"/>
        <v>-107.30000000000018</v>
      </c>
      <c r="P48" s="50">
        <f aca="true" t="shared" si="7" ref="P48:P53">N48/M48*100</f>
        <v>72.48717948717945</v>
      </c>
      <c r="Q48" s="50">
        <f>N48-277.38</f>
        <v>5.319999999999823</v>
      </c>
      <c r="R48" s="126">
        <f>N48/277.38</f>
        <v>1.0191794649938706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969.8</v>
      </c>
      <c r="G51" s="135">
        <f t="shared" si="0"/>
        <v>969.8</v>
      </c>
      <c r="H51" s="137"/>
      <c r="I51" s="136">
        <f t="shared" si="1"/>
        <v>969.8</v>
      </c>
      <c r="J51" s="136"/>
      <c r="K51" s="219">
        <f>F51-758.38</f>
        <v>211.41999999999996</v>
      </c>
      <c r="L51" s="219">
        <f>F51/758.38*100</f>
        <v>127.87784487987552</v>
      </c>
      <c r="M51" s="35">
        <f>E51-серпень!E51</f>
        <v>0</v>
      </c>
      <c r="N51" s="35">
        <f>F51-серпень!F51</f>
        <v>79.19999999999993</v>
      </c>
      <c r="O51" s="138">
        <f t="shared" si="3"/>
        <v>79.19999999999993</v>
      </c>
      <c r="P51" s="136"/>
      <c r="Q51" s="50">
        <f>N51-64.93</f>
        <v>14.269999999999925</v>
      </c>
      <c r="R51" s="126">
        <f>N51/64.93</f>
        <v>1.2197751424611107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E52-серпень!E52</f>
        <v>0</v>
      </c>
      <c r="N52" s="35">
        <f>F52-серпень!F52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481721.9</v>
      </c>
      <c r="F55" s="18">
        <f>F8+F33+F53+F54</f>
        <v>481601.88</v>
      </c>
      <c r="G55" s="44">
        <f>F55-E55</f>
        <v>-120.02000000001863</v>
      </c>
      <c r="H55" s="45">
        <f>F55/E55*100</f>
        <v>99.97508520995204</v>
      </c>
      <c r="I55" s="31">
        <f>F55-D55</f>
        <v>-119420.71999999997</v>
      </c>
      <c r="J55" s="31">
        <f>F55/D55*100</f>
        <v>80.13041106940072</v>
      </c>
      <c r="K55" s="31">
        <f>K8+K33+K53+K54</f>
        <v>112839.57600000006</v>
      </c>
      <c r="L55" s="31">
        <f>F55/(F55-K55)*100</f>
        <v>130.59954197487608</v>
      </c>
      <c r="M55" s="18">
        <f>M8+M33+M53+M54</f>
        <v>48538.399999999994</v>
      </c>
      <c r="N55" s="18">
        <f>N8+N33+N53+N54</f>
        <v>30467.69000000001</v>
      </c>
      <c r="O55" s="49">
        <f>N55-M55</f>
        <v>-18070.709999999985</v>
      </c>
      <c r="P55" s="31">
        <f>N55/M55*100</f>
        <v>62.770280849801416</v>
      </c>
      <c r="Q55" s="31">
        <f>N55-34768</f>
        <v>-4300.30999999999</v>
      </c>
      <c r="R55" s="171">
        <f>N55/34768</f>
        <v>0.8763141394385645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8" ref="G61:G68">F61-E61</f>
        <v>-51.7</v>
      </c>
      <c r="H61" s="35"/>
      <c r="I61" s="53">
        <f aca="true" t="shared" si="9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F61-липень!F61</f>
        <v>-2.510000000000005</v>
      </c>
      <c r="O61" s="47">
        <f aca="true" t="shared" si="10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8"/>
        <v>-51.7</v>
      </c>
      <c r="H62" s="65"/>
      <c r="I62" s="54">
        <f t="shared" si="9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0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593.06</v>
      </c>
      <c r="G64" s="43">
        <f t="shared" si="8"/>
        <v>-1006.94</v>
      </c>
      <c r="H64" s="35"/>
      <c r="I64" s="53">
        <f t="shared" si="9"/>
        <v>-1906.94</v>
      </c>
      <c r="J64" s="53">
        <f t="shared" si="11"/>
        <v>23.7224</v>
      </c>
      <c r="K64" s="53">
        <f>F64-1754.73</f>
        <v>-1161.67</v>
      </c>
      <c r="L64" s="53">
        <f>F64/1754.73*100</f>
        <v>33.797792252939196</v>
      </c>
      <c r="M64" s="35">
        <f>E64-серпень!E64</f>
        <v>600</v>
      </c>
      <c r="N64" s="35">
        <f>F64-серпень!F64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3948.27</v>
      </c>
      <c r="G65" s="43">
        <f t="shared" si="8"/>
        <v>-1513.8899999999999</v>
      </c>
      <c r="H65" s="35">
        <f>F65/E65*100</f>
        <v>72.28404147809658</v>
      </c>
      <c r="I65" s="53">
        <f t="shared" si="9"/>
        <v>-7627.73</v>
      </c>
      <c r="J65" s="53">
        <f t="shared" si="11"/>
        <v>34.107377332411886</v>
      </c>
      <c r="K65" s="53">
        <f>F65-2393.24</f>
        <v>1555.0300000000002</v>
      </c>
      <c r="L65" s="53">
        <f>F65/2393.24*100</f>
        <v>164.97593220905554</v>
      </c>
      <c r="M65" s="35">
        <f>E65-серпень!E65</f>
        <v>728.7200000000003</v>
      </c>
      <c r="N65" s="35">
        <f>F65-серпень!F65</f>
        <v>189.6300000000001</v>
      </c>
      <c r="O65" s="47">
        <f t="shared" si="10"/>
        <v>-539.0900000000001</v>
      </c>
      <c r="P65" s="53">
        <f>N65/M65*100</f>
        <v>26.022340542320787</v>
      </c>
      <c r="Q65" s="53">
        <f>N65-450.01</f>
        <v>-260.3799999999999</v>
      </c>
      <c r="R65" s="129">
        <f>N65/450.01</f>
        <v>0.42139063576364993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1838.86</v>
      </c>
      <c r="G66" s="43">
        <f t="shared" si="8"/>
        <v>654.06</v>
      </c>
      <c r="H66" s="35">
        <f>F66/E66*100</f>
        <v>155.20425388251184</v>
      </c>
      <c r="I66" s="53">
        <f t="shared" si="9"/>
        <v>-1161.14</v>
      </c>
      <c r="J66" s="53">
        <f t="shared" si="11"/>
        <v>61.29533333333333</v>
      </c>
      <c r="K66" s="53">
        <f>F66-1074.91</f>
        <v>763.9499999999998</v>
      </c>
      <c r="L66" s="53">
        <f>F66/1074.91*100</f>
        <v>171.07106641486263</v>
      </c>
      <c r="M66" s="35">
        <f>E66-серпень!E66</f>
        <v>148.0999999999999</v>
      </c>
      <c r="N66" s="35">
        <f>F66-серпень!F66</f>
        <v>0.2199999999997999</v>
      </c>
      <c r="O66" s="47">
        <f t="shared" si="10"/>
        <v>-147.8800000000001</v>
      </c>
      <c r="P66" s="53">
        <f>N66/M66*100</f>
        <v>0.14854827819027686</v>
      </c>
      <c r="Q66" s="53">
        <f>N66-1.05</f>
        <v>-0.8300000000002001</v>
      </c>
      <c r="R66" s="129">
        <f>N66/1.05</f>
        <v>0.20952380952361896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6380.19</v>
      </c>
      <c r="G67" s="55">
        <f t="shared" si="8"/>
        <v>-1866.7699999999995</v>
      </c>
      <c r="H67" s="65">
        <f>F67/E67*100</f>
        <v>77.36414387847158</v>
      </c>
      <c r="I67" s="54">
        <f t="shared" si="9"/>
        <v>-10695.810000000001</v>
      </c>
      <c r="J67" s="54">
        <f t="shared" si="11"/>
        <v>37.36349262122277</v>
      </c>
      <c r="K67" s="54">
        <f>K64+K65+K66</f>
        <v>1157.31</v>
      </c>
      <c r="L67" s="54"/>
      <c r="M67" s="55">
        <f>M64+M65+M66</f>
        <v>1476.8200000000002</v>
      </c>
      <c r="N67" s="55">
        <f>N64+N65+N66</f>
        <v>189.88999999999987</v>
      </c>
      <c r="O67" s="54">
        <f t="shared" si="10"/>
        <v>-1286.9300000000003</v>
      </c>
      <c r="P67" s="54">
        <f>N67/M67*100</f>
        <v>12.858032800205837</v>
      </c>
      <c r="Q67" s="54">
        <f>N67-7985.28</f>
        <v>-7795.389999999999</v>
      </c>
      <c r="R67" s="173">
        <f>N67/7985.28</f>
        <v>0.023780005209585623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0.18</v>
      </c>
      <c r="G68" s="43">
        <f t="shared" si="8"/>
        <v>-24.82</v>
      </c>
      <c r="H68" s="35"/>
      <c r="I68" s="53">
        <f t="shared" si="9"/>
        <v>-34.82</v>
      </c>
      <c r="J68" s="53">
        <f t="shared" si="11"/>
        <v>0.5142857142857142</v>
      </c>
      <c r="K68" s="53">
        <f>F68-24.17</f>
        <v>-23.990000000000002</v>
      </c>
      <c r="L68" s="53">
        <f>F68/24.17*100</f>
        <v>0.7447248655357881</v>
      </c>
      <c r="M68" s="35">
        <f>E68-серпень!E68</f>
        <v>10</v>
      </c>
      <c r="N68" s="35">
        <f>F68-серпень!F68</f>
        <v>0</v>
      </c>
      <c r="O68" s="47">
        <f t="shared" si="10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F70-1.08</f>
        <v>-0.20000000000000007</v>
      </c>
      <c r="L70" s="53">
        <f>F70/1.08*100</f>
        <v>81.48148148148148</v>
      </c>
      <c r="M70" s="35">
        <f>E70-серпень!E70</f>
        <v>0</v>
      </c>
      <c r="N70" s="35">
        <f>F70-серпень!F70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1.06</v>
      </c>
      <c r="G71" s="55">
        <f>F71-E71</f>
        <v>-35.94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-43.67</v>
      </c>
      <c r="L71" s="54"/>
      <c r="M71" s="55">
        <f>M68+M70+M69</f>
        <v>10</v>
      </c>
      <c r="N71" s="55">
        <f>N68+N70+N69</f>
        <v>0</v>
      </c>
      <c r="O71" s="54">
        <f>N71-M71</f>
        <v>-10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21.06</v>
      </c>
      <c r="G72" s="43">
        <f>F72-E72</f>
        <v>-11.16</v>
      </c>
      <c r="H72" s="35">
        <f>F72/E72*100</f>
        <v>65.36312849162012</v>
      </c>
      <c r="I72" s="53">
        <f>F72-D72</f>
        <v>-20.94</v>
      </c>
      <c r="J72" s="53">
        <f>F72/D72*100</f>
        <v>50.142857142857146</v>
      </c>
      <c r="K72" s="53">
        <f>F72-31.86</f>
        <v>-10.8</v>
      </c>
      <c r="L72" s="53">
        <f>F72/31.86*100</f>
        <v>66.10169491525424</v>
      </c>
      <c r="M72" s="35">
        <f>E72-серпень!E72</f>
        <v>9</v>
      </c>
      <c r="N72" s="35">
        <f>F72-серпень!F72</f>
        <v>0</v>
      </c>
      <c r="O72" s="47">
        <f>N72-M72</f>
        <v>-9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6350.8099999999995</v>
      </c>
      <c r="G74" s="44">
        <f>F74-E74</f>
        <v>-1965.369999999999</v>
      </c>
      <c r="H74" s="45">
        <f>F74/E74*100</f>
        <v>76.3669136550676</v>
      </c>
      <c r="I74" s="31">
        <f>F74-D74</f>
        <v>-10821.19</v>
      </c>
      <c r="J74" s="31">
        <f>F74/D74*100</f>
        <v>36.983519683205216</v>
      </c>
      <c r="K74" s="31">
        <f>K62+K67+K71+K72</f>
        <v>813.98</v>
      </c>
      <c r="L74" s="31"/>
      <c r="M74" s="27">
        <f>M62+M72+M67+M71</f>
        <v>1495.8200000000002</v>
      </c>
      <c r="N74" s="27">
        <f>N62+N72+N67+N71+N73</f>
        <v>187.37999999999988</v>
      </c>
      <c r="O74" s="31">
        <f>N74-M74</f>
        <v>-1308.4400000000003</v>
      </c>
      <c r="P74" s="31">
        <f>N74/M74*100</f>
        <v>12.52690831784572</v>
      </c>
      <c r="Q74" s="31">
        <f>N74-8104.96</f>
        <v>-7917.58</v>
      </c>
      <c r="R74" s="127">
        <f>N74/8104.96</f>
        <v>0.02311917640555905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490038.08</v>
      </c>
      <c r="F75" s="27">
        <f>F55+F74</f>
        <v>487952.69</v>
      </c>
      <c r="G75" s="44">
        <f>F75-E75</f>
        <v>-2085.390000000014</v>
      </c>
      <c r="H75" s="45">
        <f>F75/E75*100</f>
        <v>99.57444327591847</v>
      </c>
      <c r="I75" s="31">
        <f>F75-D75</f>
        <v>-130241.90999999997</v>
      </c>
      <c r="J75" s="31">
        <f>F75/D75*100</f>
        <v>78.93189134942298</v>
      </c>
      <c r="K75" s="31">
        <f>K55+K74</f>
        <v>113653.55600000006</v>
      </c>
      <c r="L75" s="31">
        <f>F75/(F75-K75)*100</f>
        <v>130.36436520315326</v>
      </c>
      <c r="M75" s="18">
        <f>M55+M74</f>
        <v>50034.219999999994</v>
      </c>
      <c r="N75" s="18">
        <f>N55+N74</f>
        <v>30655.07000000001</v>
      </c>
      <c r="O75" s="31">
        <f>N75-M75</f>
        <v>-19379.149999999983</v>
      </c>
      <c r="P75" s="31">
        <f>N75/M75*100</f>
        <v>61.268208038418535</v>
      </c>
      <c r="Q75" s="31">
        <f>N75-42872.96</f>
        <v>-12217.889999999989</v>
      </c>
      <c r="R75" s="127">
        <f>N75/42872.96</f>
        <v>0.7150210762214695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8</v>
      </c>
      <c r="D77" s="4" t="s">
        <v>118</v>
      </c>
    </row>
    <row r="78" spans="2:17" ht="31.5">
      <c r="B78" s="71" t="s">
        <v>154</v>
      </c>
      <c r="C78" s="34">
        <f>IF(O55&lt;0,ABS(O55/C77),0)</f>
        <v>2258.838749999998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42265</v>
      </c>
      <c r="D79" s="34">
        <v>2392.3</v>
      </c>
      <c r="G79" s="4" t="s">
        <v>166</v>
      </c>
      <c r="N79" s="236"/>
      <c r="O79" s="236"/>
    </row>
    <row r="80" spans="3:15" ht="15.75">
      <c r="C80" s="111">
        <v>42264</v>
      </c>
      <c r="D80" s="34">
        <v>1593.7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42263</v>
      </c>
      <c r="D81" s="34">
        <v>1780.5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2605.42555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8" right="0.25" top="0.27" bottom="0.36" header="0.2" footer="0.29"/>
  <pageSetup fitToHeight="1" fitToWidth="1" horizontalDpi="600" verticalDpi="6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203</v>
      </c>
      <c r="C3" s="256" t="s">
        <v>0</v>
      </c>
      <c r="D3" s="257" t="s">
        <v>190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187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153</v>
      </c>
      <c r="F4" s="245" t="s">
        <v>116</v>
      </c>
      <c r="G4" s="247" t="s">
        <v>173</v>
      </c>
      <c r="H4" s="274" t="s">
        <v>174</v>
      </c>
      <c r="I4" s="276" t="s">
        <v>186</v>
      </c>
      <c r="J4" s="279" t="s">
        <v>189</v>
      </c>
      <c r="K4" s="116" t="s">
        <v>172</v>
      </c>
      <c r="L4" s="121" t="s">
        <v>171</v>
      </c>
      <c r="M4" s="241"/>
      <c r="N4" s="226" t="s">
        <v>194</v>
      </c>
      <c r="O4" s="276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75"/>
      <c r="I5" s="277"/>
      <c r="J5" s="280"/>
      <c r="K5" s="238" t="s">
        <v>188</v>
      </c>
      <c r="L5" s="239"/>
      <c r="M5" s="242"/>
      <c r="N5" s="227"/>
      <c r="O5" s="277"/>
      <c r="P5" s="262"/>
      <c r="Q5" s="238" t="s">
        <v>176</v>
      </c>
      <c r="R5" s="239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0"/>
      <c r="H137" s="240"/>
      <c r="I137" s="240"/>
      <c r="J137" s="240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6"/>
      <c r="O138" s="236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8" t="s">
        <v>161</v>
      </c>
      <c r="K139" s="278"/>
      <c r="L139" s="278"/>
      <c r="M139" s="278"/>
      <c r="N139" s="236"/>
      <c r="O139" s="236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81" t="s">
        <v>162</v>
      </c>
      <c r="K140" s="281"/>
      <c r="L140" s="281"/>
      <c r="M140" s="281"/>
      <c r="N140" s="236"/>
      <c r="O140" s="236"/>
    </row>
    <row r="141" spans="7:13" ht="15.75" customHeight="1">
      <c r="G141" s="265" t="s">
        <v>148</v>
      </c>
      <c r="H141" s="265"/>
      <c r="I141" s="103">
        <v>0</v>
      </c>
      <c r="J141" s="278" t="s">
        <v>163</v>
      </c>
      <c r="K141" s="278"/>
      <c r="L141" s="278"/>
      <c r="M141" s="278"/>
    </row>
    <row r="142" spans="2:13" ht="18.75" customHeight="1">
      <c r="B142" s="232" t="s">
        <v>160</v>
      </c>
      <c r="C142" s="233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8" t="s">
        <v>164</v>
      </c>
      <c r="K142" s="278"/>
      <c r="L142" s="278"/>
      <c r="M142" s="278"/>
    </row>
    <row r="143" spans="7:12" ht="9.75" customHeight="1">
      <c r="G143" s="228"/>
      <c r="H143" s="228"/>
      <c r="I143" s="90"/>
      <c r="J143" s="91"/>
      <c r="K143" s="91"/>
      <c r="L143" s="91"/>
    </row>
    <row r="144" spans="2:12" ht="22.5" customHeight="1" hidden="1">
      <c r="B144" s="229" t="s">
        <v>167</v>
      </c>
      <c r="C144" s="230"/>
      <c r="D144" s="110">
        <v>0</v>
      </c>
      <c r="E144" s="70" t="s">
        <v>104</v>
      </c>
      <c r="G144" s="228"/>
      <c r="H144" s="228"/>
      <c r="I144" s="90"/>
      <c r="J144" s="91"/>
      <c r="K144" s="91"/>
      <c r="L144" s="91"/>
    </row>
    <row r="145" spans="4:15" ht="15.75">
      <c r="D145" s="105"/>
      <c r="N145" s="228"/>
      <c r="O145" s="228"/>
    </row>
    <row r="146" spans="4:15" ht="15.75">
      <c r="D146" s="104"/>
      <c r="I146" s="34"/>
      <c r="N146" s="231"/>
      <c r="O146" s="231"/>
    </row>
    <row r="147" spans="14:15" ht="15.75">
      <c r="N147" s="228"/>
      <c r="O147" s="228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296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293</v>
      </c>
      <c r="N3" s="262" t="s">
        <v>294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291</v>
      </c>
      <c r="F4" s="245" t="s">
        <v>116</v>
      </c>
      <c r="G4" s="247" t="s">
        <v>292</v>
      </c>
      <c r="H4" s="249" t="s">
        <v>301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297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295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890.6</v>
      </c>
      <c r="G51" s="135">
        <f t="shared" si="0"/>
        <v>890.6</v>
      </c>
      <c r="H51" s="137"/>
      <c r="I51" s="136">
        <f t="shared" si="1"/>
        <v>890.6</v>
      </c>
      <c r="J51" s="136"/>
      <c r="K51" s="219">
        <f>F51-635.8</f>
        <v>254.80000000000007</v>
      </c>
      <c r="L51" s="219">
        <f>F51/635.8*100</f>
        <v>140.07549543881726</v>
      </c>
      <c r="M51" s="137">
        <f>E51-липень!E51</f>
        <v>0</v>
      </c>
      <c r="N51" s="137">
        <f>F51-липень!F51</f>
        <v>207.39999999999998</v>
      </c>
      <c r="O51" s="138">
        <f t="shared" si="3"/>
        <v>207.39999999999998</v>
      </c>
      <c r="P51" s="136"/>
      <c r="Q51" s="50">
        <f>N51-64.93</f>
        <v>142.46999999999997</v>
      </c>
      <c r="R51" s="126">
        <f>N51/64.93</f>
        <v>3.194209148313568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36"/>
      <c r="O79" s="236"/>
    </row>
    <row r="80" spans="3:15" ht="15.75">
      <c r="C80" s="111">
        <v>42244</v>
      </c>
      <c r="D80" s="34">
        <v>8323.9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42243</v>
      </c>
      <c r="D81" s="34">
        <v>4177.3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2162.07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G4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3" sqref="N3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285</v>
      </c>
      <c r="N3" s="262" t="s">
        <v>286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282</v>
      </c>
      <c r="F4" s="245" t="s">
        <v>116</v>
      </c>
      <c r="G4" s="247" t="s">
        <v>283</v>
      </c>
      <c r="H4" s="249" t="s">
        <v>284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287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6"/>
      <c r="O79" s="236"/>
    </row>
    <row r="80" spans="3:15" ht="15.75">
      <c r="C80" s="111">
        <v>42215</v>
      </c>
      <c r="D80" s="34">
        <v>7239.9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70" t="s">
        <v>280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117"/>
      <c r="R1" s="118"/>
    </row>
    <row r="2" spans="2:18" s="1" customFormat="1" ht="15.75" customHeight="1">
      <c r="B2" s="252"/>
      <c r="C2" s="252"/>
      <c r="D2" s="252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277</v>
      </c>
      <c r="N3" s="262" t="s">
        <v>278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279</v>
      </c>
      <c r="F4" s="268" t="s">
        <v>116</v>
      </c>
      <c r="G4" s="247" t="s">
        <v>275</v>
      </c>
      <c r="H4" s="249" t="s">
        <v>276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281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69"/>
      <c r="G5" s="248"/>
      <c r="H5" s="250"/>
      <c r="I5" s="243"/>
      <c r="J5" s="242"/>
      <c r="K5" s="238" t="s">
        <v>288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6"/>
      <c r="O79" s="236"/>
    </row>
    <row r="80" spans="3:15" ht="15.75">
      <c r="C80" s="111">
        <v>42181</v>
      </c>
      <c r="D80" s="34">
        <v>8722.4</v>
      </c>
      <c r="F80" s="217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274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266</v>
      </c>
      <c r="N3" s="262" t="s">
        <v>267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262</v>
      </c>
      <c r="F4" s="245" t="s">
        <v>116</v>
      </c>
      <c r="G4" s="247" t="s">
        <v>263</v>
      </c>
      <c r="H4" s="249" t="s">
        <v>264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273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265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6"/>
      <c r="O79" s="236"/>
    </row>
    <row r="80" spans="3:15" ht="15.75">
      <c r="C80" s="111">
        <v>42152</v>
      </c>
      <c r="D80" s="34">
        <v>5845.4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7:13" ht="15.75" customHeight="1"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259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240</v>
      </c>
      <c r="N3" s="262" t="s">
        <v>241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237</v>
      </c>
      <c r="F4" s="271" t="s">
        <v>116</v>
      </c>
      <c r="G4" s="247" t="s">
        <v>238</v>
      </c>
      <c r="H4" s="249" t="s">
        <v>239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260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2"/>
      <c r="G5" s="248"/>
      <c r="H5" s="250"/>
      <c r="I5" s="243"/>
      <c r="J5" s="242"/>
      <c r="K5" s="238" t="s">
        <v>242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0"/>
      <c r="H103" s="240"/>
      <c r="I103" s="240"/>
      <c r="J103" s="240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6"/>
      <c r="O104" s="236"/>
    </row>
    <row r="105" spans="3:15" ht="15.75">
      <c r="C105" s="111">
        <v>42123</v>
      </c>
      <c r="D105" s="34">
        <v>7959.6</v>
      </c>
      <c r="F105" s="201" t="s">
        <v>166</v>
      </c>
      <c r="G105" s="228"/>
      <c r="H105" s="228"/>
      <c r="I105" s="177"/>
      <c r="J105" s="234"/>
      <c r="K105" s="234"/>
      <c r="L105" s="234"/>
      <c r="M105" s="234"/>
      <c r="N105" s="236"/>
      <c r="O105" s="236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35"/>
      <c r="K106" s="235"/>
      <c r="L106" s="235"/>
      <c r="M106" s="235"/>
      <c r="N106" s="236"/>
      <c r="O106" s="236"/>
    </row>
    <row r="107" spans="7:13" ht="15.75" customHeight="1">
      <c r="G107" s="266" t="s">
        <v>234</v>
      </c>
      <c r="H107" s="267"/>
      <c r="I107" s="103">
        <v>0</v>
      </c>
      <c r="J107" s="234"/>
      <c r="K107" s="234"/>
      <c r="L107" s="234"/>
      <c r="M107" s="234"/>
    </row>
    <row r="108" spans="2:13" ht="18.75" customHeight="1">
      <c r="B108" s="232" t="s">
        <v>160</v>
      </c>
      <c r="C108" s="233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34"/>
      <c r="K108" s="234"/>
      <c r="L108" s="234"/>
      <c r="M108" s="234"/>
    </row>
    <row r="109" spans="7:12" ht="9.75" customHeight="1">
      <c r="G109" s="228"/>
      <c r="H109" s="228"/>
      <c r="I109" s="90"/>
      <c r="J109" s="91"/>
      <c r="K109" s="91"/>
      <c r="L109" s="91"/>
    </row>
    <row r="110" spans="2:12" ht="22.5" customHeight="1" hidden="1">
      <c r="B110" s="229" t="s">
        <v>167</v>
      </c>
      <c r="C110" s="230"/>
      <c r="D110" s="110">
        <v>0</v>
      </c>
      <c r="E110" s="70" t="s">
        <v>104</v>
      </c>
      <c r="G110" s="228"/>
      <c r="H110" s="228"/>
      <c r="I110" s="90"/>
      <c r="J110" s="91"/>
      <c r="K110" s="91"/>
      <c r="L110" s="91"/>
    </row>
    <row r="111" spans="4:15" ht="15.75">
      <c r="D111" s="105"/>
      <c r="N111" s="228"/>
      <c r="O111" s="228"/>
    </row>
    <row r="112" spans="4:15" ht="15.75">
      <c r="D112" s="104"/>
      <c r="I112" s="34"/>
      <c r="N112" s="231"/>
      <c r="O112" s="231"/>
    </row>
    <row r="113" spans="14:15" ht="15.75">
      <c r="N113" s="228"/>
      <c r="O113" s="228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235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231</v>
      </c>
      <c r="N3" s="262" t="s">
        <v>232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228</v>
      </c>
      <c r="F4" s="245" t="s">
        <v>116</v>
      </c>
      <c r="G4" s="247" t="s">
        <v>229</v>
      </c>
      <c r="H4" s="249" t="s">
        <v>230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236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233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6"/>
      <c r="O105" s="236"/>
    </row>
    <row r="106" spans="3:15" ht="15.75">
      <c r="C106" s="111">
        <v>42093</v>
      </c>
      <c r="D106" s="34">
        <v>8025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66" t="s">
        <v>234</v>
      </c>
      <c r="H108" s="267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227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221</v>
      </c>
      <c r="N3" s="262" t="s">
        <v>202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199</v>
      </c>
      <c r="F4" s="245" t="s">
        <v>116</v>
      </c>
      <c r="G4" s="247" t="s">
        <v>200</v>
      </c>
      <c r="H4" s="249" t="s">
        <v>201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226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224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6"/>
      <c r="O105" s="236"/>
    </row>
    <row r="106" spans="3:15" ht="15.75">
      <c r="C106" s="111">
        <v>42061</v>
      </c>
      <c r="D106" s="34">
        <v>6003.3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73" t="s">
        <v>155</v>
      </c>
      <c r="H108" s="273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220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219</v>
      </c>
      <c r="F4" s="245" t="s">
        <v>116</v>
      </c>
      <c r="G4" s="247" t="s">
        <v>173</v>
      </c>
      <c r="H4" s="274" t="s">
        <v>174</v>
      </c>
      <c r="I4" s="276" t="s">
        <v>217</v>
      </c>
      <c r="J4" s="279" t="s">
        <v>218</v>
      </c>
      <c r="K4" s="116" t="s">
        <v>172</v>
      </c>
      <c r="L4" s="121" t="s">
        <v>171</v>
      </c>
      <c r="M4" s="241"/>
      <c r="N4" s="226" t="s">
        <v>194</v>
      </c>
      <c r="O4" s="276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75"/>
      <c r="I5" s="277"/>
      <c r="J5" s="280"/>
      <c r="K5" s="238" t="s">
        <v>188</v>
      </c>
      <c r="L5" s="239"/>
      <c r="M5" s="242"/>
      <c r="N5" s="227"/>
      <c r="O5" s="277"/>
      <c r="P5" s="262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0"/>
      <c r="H102" s="240"/>
      <c r="I102" s="240"/>
      <c r="J102" s="240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6"/>
      <c r="O103" s="236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8" t="s">
        <v>161</v>
      </c>
      <c r="K104" s="278"/>
      <c r="L104" s="278"/>
      <c r="M104" s="278"/>
      <c r="N104" s="236"/>
      <c r="O104" s="236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81" t="s">
        <v>162</v>
      </c>
      <c r="K105" s="281"/>
      <c r="L105" s="281"/>
      <c r="M105" s="281"/>
      <c r="N105" s="236"/>
      <c r="O105" s="236"/>
    </row>
    <row r="106" spans="7:13" ht="15.75" customHeight="1">
      <c r="G106" s="265" t="s">
        <v>148</v>
      </c>
      <c r="H106" s="265"/>
      <c r="I106" s="103">
        <f>'січень '!I141</f>
        <v>0</v>
      </c>
      <c r="J106" s="278" t="s">
        <v>163</v>
      </c>
      <c r="K106" s="278"/>
      <c r="L106" s="278"/>
      <c r="M106" s="278"/>
    </row>
    <row r="107" spans="2:13" ht="18.75" customHeight="1">
      <c r="B107" s="232" t="s">
        <v>160</v>
      </c>
      <c r="C107" s="233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8" t="s">
        <v>164</v>
      </c>
      <c r="K107" s="278"/>
      <c r="L107" s="278"/>
      <c r="M107" s="278"/>
    </row>
    <row r="108" spans="7:12" ht="9.75" customHeight="1">
      <c r="G108" s="228"/>
      <c r="H108" s="228"/>
      <c r="I108" s="90"/>
      <c r="J108" s="91"/>
      <c r="K108" s="91"/>
      <c r="L108" s="91"/>
    </row>
    <row r="109" spans="2:12" ht="22.5" customHeight="1" hidden="1">
      <c r="B109" s="229" t="s">
        <v>167</v>
      </c>
      <c r="C109" s="230"/>
      <c r="D109" s="110">
        <v>0</v>
      </c>
      <c r="E109" s="70" t="s">
        <v>104</v>
      </c>
      <c r="G109" s="228"/>
      <c r="H109" s="228"/>
      <c r="I109" s="90"/>
      <c r="J109" s="91"/>
      <c r="K109" s="91"/>
      <c r="L109" s="91"/>
    </row>
    <row r="110" spans="4:15" ht="15.75">
      <c r="D110" s="105"/>
      <c r="N110" s="228"/>
      <c r="O110" s="228"/>
    </row>
    <row r="111" spans="4:15" ht="15.75">
      <c r="D111" s="104"/>
      <c r="I111" s="34"/>
      <c r="N111" s="231"/>
      <c r="O111" s="231"/>
    </row>
    <row r="112" spans="14:15" ht="15.75">
      <c r="N112" s="228"/>
      <c r="O112" s="228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2015-09-21T09:19:22Z</cp:lastPrinted>
  <dcterms:created xsi:type="dcterms:W3CDTF">2003-07-28T11:27:56Z</dcterms:created>
  <dcterms:modified xsi:type="dcterms:W3CDTF">2015-09-21T09:29:11Z</dcterms:modified>
  <cp:category/>
  <cp:version/>
  <cp:contentType/>
  <cp:contentStatus/>
</cp:coreProperties>
</file>